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nleitung" sheetId="1" r:id="rId1"/>
    <sheet name="Investition" sheetId="2" r:id="rId2"/>
    <sheet name="Annahmen" sheetId="3" r:id="rId3"/>
    <sheet name="Plan 24 Monate" sheetId="4" r:id="rId4"/>
    <sheet name="Bank-Check" sheetId="5" r:id="rId5"/>
    <sheet name="Quellen" sheetId="6" r:id="rId6"/>
  </sheets>
  <calcPr calcId="191029" fullCalcOnLoad="1"/>
</workbook>
</file>

<file path=xl/styles.xml><?xml version="1.0" encoding="utf-8"?>
<styleSheet xmlns="http://schemas.openxmlformats.org/spreadsheetml/2006/main">
  <numFmts count="3">
    <numFmt numFmtId="164" formatCode="#,##0 &quot;€&quot;"/>
    <numFmt numFmtId="165" formatCode="0.0%"/>
    <numFmt numFmtId="166" formatCode="0.00"/>
  </numFmts>
  <fonts count="7">
    <font>
      <sz val="10"/>
      <name val="Arial"/>
    </font>
    <font>
      <b/>
      <sz val="10"/>
      <name val="Arial"/>
    </font>
    <font>
      <b/>
      <sz val="14"/>
      <name val="Arial"/>
    </font>
    <font>
      <sz val="10"/>
      <color rgb="FF0000FF"/>
      <name val="Arial"/>
    </font>
    <font>
      <sz val="9"/>
      <color rgb="FF808080"/>
      <name val="Arial"/>
    </font>
    <font>
      <b/>
      <sz val="11"/>
      <color rgb="FF1F5C2E"/>
      <name val="Arial"/>
    </font>
    <font>
      <sz val="10"/>
      <color rgb="FF008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DDEBDD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0" xfId="0" applyFont="1"/>
    <xf numFmtId="0" fontId="3" fillId="2" borderId="0" xfId="0" applyFont="1" applyFill="1"/>
    <xf numFmtId="165" fontId="3" fillId="2" borderId="0" xfId="0" applyFont="1" applyFill="1" applyNumberFormat="1"/>
    <xf numFmtId="164" fontId="0" fillId="0" borderId="0" xfId="0" applyNumberFormat="1"/>
    <xf numFmtId="165" fontId="0" fillId="0" borderId="0" xfId="0" applyNumberFormat="1"/>
    <xf numFmtId="0" fontId="4" fillId="0" borderId="0" xfId="0" applyFont="1"/>
    <xf numFmtId="164" fontId="1" fillId="0" borderId="1" xfId="0" applyFont="1" applyNumberFormat="1" applyBorder="1"/>
    <xf numFmtId="164" fontId="3" fillId="2" borderId="0" xfId="0" applyFont="1" applyFill="1" applyNumberFormat="1"/>
    <xf numFmtId="0" fontId="5" fillId="0" borderId="0" xfId="0" applyFont="1"/>
    <xf numFmtId="0" fontId="0" fillId="4" borderId="0" xfId="0" applyFill="1"/>
    <xf numFmtId="165" fontId="0" fillId="4" borderId="0" xfId="0" applyFill="1" applyNumberFormat="1"/>
    <xf numFmtId="166" fontId="0" fillId="4" borderId="0" xfId="0" applyFill="1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S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26" customWidth="1"/>
    <col min="2" max="2" width="104" customWidth="1"/>
  </cols>
  <sheetData>
    <row r="1">
      <c r="A1" s="2" t="inlineStr">
        <is>
          <t xml:space="preserve">Gastronomie-Finanzplan — Umsatz-, Rentabilitäts- und Liquiditätsvorschau über 24 Monate</t>
        </is>
      </c>
    </row>
    <row r="2">
      <c r="A2" s="7" t="inlineStr">
        <is>
          <t xml:space="preserve">Kostenfrei von TasteWorks · agentur-gastronomie.de/businessplan-gastronomie/</t>
        </is>
      </c>
    </row>
    <row r="4">
      <c r="A4" s="1" t="inlineStr">
        <is>
          <t xml:space="preserve">SO ARBEITEN SIE DAMIT</t>
        </is>
      </c>
    </row>
    <row r="5">
      <c r="A5" s="1" t="inlineStr">
        <is>
          <t xml:space="preserve">1.</t>
        </is>
      </c>
      <c r="B5" s="0" t="inlineStr">
        <is>
          <t xml:space="preserve">Blatt „Investition“ ausfüllen — was Ihre Gründung wirklich kostet. Die Summe fließt automatisch in die Finanzierung.</t>
        </is>
      </c>
    </row>
    <row r="6">
      <c r="A6" s="1" t="inlineStr">
        <is>
          <t xml:space="preserve">2.</t>
        </is>
      </c>
      <c r="B6" s="0" t="inlineStr">
        <is>
          <t xml:space="preserve">Blatt „Annahmen“ ausfüllen — nur die gelben Felder. Sitzplätze, Bon, Öffnungstage, Ihre Kostenquoten.</t>
        </is>
      </c>
    </row>
    <row r="7">
      <c r="A7" s="1" t="inlineStr">
        <is>
          <t xml:space="preserve">3.</t>
        </is>
      </c>
      <c r="B7" s="0" t="inlineStr">
        <is>
          <t xml:space="preserve">Blatt „Bank-Check“ ansehen — dort steht, ob Ihre Zahlen im Branchenrahmen liegen. Das ist der Teil, den die Bank prüft.</t>
        </is>
      </c>
    </row>
    <row r="8">
      <c r="A8" s="1" t="inlineStr">
        <is>
          <t xml:space="preserve">4.</t>
        </is>
      </c>
      <c r="B8" s="0" t="inlineStr">
        <is>
          <t xml:space="preserve">Blatt „Plan 24 Monate“ ist die Vorschau, die Sie dem Bankgespräch beilegen.</t>
        </is>
      </c>
    </row>
    <row r="10">
      <c r="A10" s="1" t="inlineStr">
        <is>
          <t xml:space="preserve">LEGENDE</t>
        </is>
      </c>
    </row>
    <row r="11">
      <c r="A11" s="0" t="inlineStr">
        <is>
          <t xml:space="preserve">Gelb hinterlegt</t>
        </is>
      </c>
      <c r="B11" s="0" t="inlineStr">
        <is>
          <t xml:space="preserve">Ihre Eingabe. Alles andere rechnet sich selbst — bitte nicht überschreiben.</t>
        </is>
      </c>
    </row>
    <row r="12">
      <c r="A12" s="0" t="inlineStr">
        <is>
          <t xml:space="preserve">Grau hinterlegt</t>
        </is>
      </c>
      <c r="B12" s="0" t="inlineStr">
        <is>
          <t xml:space="preserve">Branchen-Vergleichswert, belegt. Quellen auf dem Blatt „Quellen“.</t>
        </is>
      </c>
    </row>
    <row r="14">
      <c r="A14" s="1" t="inlineStr">
        <is>
          <t xml:space="preserve">WAS DIE BANK WIRKLICH PRÜFT</t>
        </is>
      </c>
    </row>
    <row r="15">
      <c r="A15" s="1" t="inlineStr">
        <is>
          <t xml:space="preserve">Personalkostenquote</t>
        </is>
      </c>
      <c r="B15" s="0" t="inlineStr">
        <is>
          <t xml:space="preserve">Median der Branche 34,7 %. Oberes Viertel 42,6 %. Wer darüber plant, muss es begründen.</t>
        </is>
      </c>
    </row>
    <row r="16">
      <c r="A16" s="1" t="inlineStr">
        <is>
          <t xml:space="preserve">Umsatzrendite</t>
        </is>
      </c>
      <c r="B16" s="0" t="inlineStr">
        <is>
          <t xml:space="preserve">3,3 % vor Steuern sind branchenüblich. Wer 12 % plant, verliert Glaubwürdigkeit.</t>
        </is>
      </c>
    </row>
    <row r="17">
      <c r="A17" s="1" t="inlineStr">
        <is>
          <t xml:space="preserve">Eigenkapitalquote</t>
        </is>
      </c>
      <c r="B17" s="0" t="inlineStr">
        <is>
          <t xml:space="preserve">Die IHK nennt als Faustregel mindestens 20 %. Der KfW-Gründerkredit StartGeld verlangt formal keines.</t>
        </is>
      </c>
    </row>
    <row r="18">
      <c r="A18" s="1" t="inlineStr">
        <is>
          <t xml:space="preserve">Kapitaldienstfähigkeit</t>
        </is>
      </c>
      <c r="B18" s="0" t="inlineStr">
        <is>
          <t xml:space="preserve">Betriebsergebnis geteilt durch Kapitaldienst. Unter 1,2 wird es eng.</t>
        </is>
      </c>
    </row>
    <row r="19">
      <c r="A19" s="1" t="inlineStr">
        <is>
          <t xml:space="preserve">Liquidität</t>
        </is>
      </c>
      <c r="B19" s="0" t="inlineStr">
        <is>
          <t xml:space="preserve">Nicht der Break-even zählt, sondern der Monat mit dem schwächsten Cashflow.</t>
        </is>
      </c>
    </row>
    <row r="21">
      <c r="A21" s="7" t="inlineStr">
        <is>
          <t xml:space="preserve">Die Umsatzherleitung folgt der Form, die Industrie- und Handelskammern für die fachkundige Stellungnahme nach § 93 SGB III verlangen: Menge × Durchschnittspreis über mindestens 24 Monate.</t>
        </is>
      </c>
    </row>
    <row r="22">
      <c r="A22" s="7" t="inlineStr">
        <is>
          <t xml:space="preserve">Diese Datei ersetzt keine Beratung. Sie zeigt, ob Ihre Planung im Rahmen liegt — und wo nicht.</t>
        </is>
      </c>
    </row>
  </sheetData>
</worksheet>
</file>

<file path=xl/worksheets/sheet2.xml><?xml version="1.0" encoding="utf-8"?>
<worksheet xmlns="http://schemas.openxmlformats.org/spreadsheetml/2006/main">
  <cols>
    <col min="1" max="1" width="42" customWidth="1"/>
    <col min="2" max="2" width="15" customWidth="1"/>
    <col min="3" max="3" width="76" customWidth="1"/>
  </cols>
  <sheetData>
    <row r="1">
      <c r="A1" s="2" t="inlineStr">
        <is>
          <t xml:space="preserve">Investition und Kapitalbedarf</t>
        </is>
      </c>
    </row>
    <row r="2">
      <c r="A2" s="7" t="inlineStr">
        <is>
          <t xml:space="preserve">Tragen Sie Ihre eigenen Positionen ein. Die Summe fließt automatisch in „Annahmen“.</t>
        </is>
      </c>
    </row>
    <row r="4">
      <c r="A4" s="1" t="inlineStr">
        <is>
          <t xml:space="preserve">Position</t>
        </is>
      </c>
      <c r="B4" s="1" t="inlineStr">
        <is>
          <t xml:space="preserve">Betrag</t>
        </is>
      </c>
      <c r="C4" s="1" t="inlineStr">
        <is>
          <t xml:space="preserve">Hinweis</t>
        </is>
      </c>
    </row>
    <row r="5">
      <c r="A5" s="0" t="inlineStr">
        <is>
          <t xml:space="preserve">Umbau, Bau und Handwerk</t>
        </is>
      </c>
      <c r="B5" s="9">
        <v>55000</v>
      </c>
      <c r="C5" s="7" t="inlineStr">
        <is>
          <t xml:space="preserve">Angebote einholen, nicht schätzen</t>
        </is>
      </c>
    </row>
    <row r="6">
      <c r="A6" s="0" t="inlineStr">
        <is>
          <t xml:space="preserve">Küchentechnik</t>
        </is>
      </c>
      <c r="B6" s="9">
        <v>45000</v>
      </c>
      <c r="C6" s="7" t="inlineStr">
        <is>
          <t xml:space="preserve">inkl. Lüftung und Montage</t>
        </is>
      </c>
    </row>
    <row r="7">
      <c r="A7" s="0" t="inlineStr">
        <is>
          <t xml:space="preserve">Möblierung und Einrichtung</t>
        </is>
      </c>
      <c r="B7" s="9">
        <v>30000</v>
      </c>
      <c r="C7" s="7" t="inlineStr">
        <is>
          <t xml:space="preserve">Möbel, Licht, Textilien, Geschirr</t>
        </is>
      </c>
    </row>
    <row r="8">
      <c r="A8" s="0" t="inlineStr">
        <is>
          <t xml:space="preserve">Kassensystem, IT, Technik</t>
        </is>
      </c>
      <c r="B8" s="9">
        <v>6000</v>
      </c>
      <c r="C8" s="7" t="inlineStr">
        <is>
          <t xml:space="preserve">Kasse, TSE, Bonsystem, Warenwirtschaft</t>
        </is>
      </c>
    </row>
    <row r="9">
      <c r="A9" s="0" t="inlineStr">
        <is>
          <t xml:space="preserve">Warenerstausstattung</t>
        </is>
      </c>
      <c r="B9" s="9">
        <v>8000</v>
      </c>
      <c r="C9" s="7" t="inlineStr">
        <is>
          <t xml:space="preserve">erster Wareneinkauf</t>
        </is>
      </c>
    </row>
    <row r="10">
      <c r="A10" s="0" t="inlineStr">
        <is>
          <t xml:space="preserve">Mietkaution</t>
        </is>
      </c>
      <c r="B10" s="9">
        <v>12000</v>
      </c>
      <c r="C10" s="7" t="inlineStr">
        <is>
          <t xml:space="preserve">meist 3 Monatsmieten</t>
        </is>
      </c>
    </row>
    <row r="11">
      <c r="A11" s="0" t="inlineStr">
        <is>
          <t xml:space="preserve">Marketing und Website vor Eröffnung</t>
        </is>
      </c>
      <c r="B11" s="9">
        <v>9000</v>
      </c>
      <c r="C11" s="7" t="inlineStr">
        <is>
          <t xml:space="preserve">Website, Fotos, Eröffnungskampagne</t>
        </is>
      </c>
    </row>
    <row r="12">
      <c r="A12" s="0" t="inlineStr">
        <is>
          <t xml:space="preserve">Genehmigungen, Beratung, Notar</t>
        </is>
      </c>
      <c r="B12" s="9">
        <v>5000</v>
      </c>
      <c r="C12" s="7" t="inlineStr">
        <is>
          <t xml:space="preserve">Gaststättenerlaubnis, Beratung, Gründungskosten</t>
        </is>
      </c>
    </row>
    <row r="13">
      <c r="A13" s="0" t="inlineStr">
        <is>
          <t xml:space="preserve">Liquiditätsreserve für die Anlaufphase</t>
        </is>
      </c>
      <c r="B13" s="9">
        <v>10000</v>
      </c>
      <c r="C13" s="7" t="inlineStr">
        <is>
          <t xml:space="preserve">Puffer für die ersten Monate — Banken sehen das gern</t>
        </is>
      </c>
    </row>
    <row r="14">
      <c r="A14" s="1" t="inlineStr">
        <is>
          <t xml:space="preserve">Gesamter Kapitalbedarf</t>
        </is>
      </c>
      <c r="B14" s="8">
        <f>SUM(B5:B13)</f>
        <v>180000</v>
      </c>
      <c r="C14" s="1" t="inlineStr">
        <is>
          <t xml:space="preserve"/>
        </is>
      </c>
    </row>
    <row r="16">
      <c r="A16" s="1" t="inlineStr">
        <is>
          <t xml:space="preserve">FINANZIERUNG</t>
        </is>
      </c>
      <c r="B16" s="1" t="inlineStr">
        <is>
          <t xml:space="preserve"/>
        </is>
      </c>
      <c r="C16" s="1" t="inlineStr">
        <is>
          <t xml:space="preserve"/>
        </is>
      </c>
    </row>
    <row r="17">
      <c r="A17" s="0" t="inlineStr">
        <is>
          <t xml:space="preserve">Eigenkapital</t>
        </is>
      </c>
      <c r="B17" s="9">
        <v>36000</v>
      </c>
      <c r="C17" s="7" t="inlineStr">
        <is>
          <t xml:space="preserve">IHK-Faustregel: mindestens 20 % des Kapitalbedarfs</t>
        </is>
      </c>
    </row>
    <row r="18">
      <c r="A18" s="0" t="inlineStr">
        <is>
          <t xml:space="preserve">Darlehen</t>
        </is>
      </c>
      <c r="B18" s="5">
        <f>B14-B17</f>
        <v>144000</v>
      </c>
      <c r="C18" s="7" t="inlineStr">
        <is>
          <t xml:space="preserve">KfW-StartGeld: bis 200.000 €, davon max. 80.000 € Betriebsmittel, 80 % Haftungsfreistellung</t>
        </is>
      </c>
    </row>
    <row r="19">
      <c r="A19" s="0" t="inlineStr">
        <is>
          <t xml:space="preserve">Eigenkapitalquote</t>
        </is>
      </c>
      <c r="B19" s="6">
        <f>IF(B14=0,0,B17/B14)</f>
        <v>0.2</v>
      </c>
      <c r="C19" s="7" t="inlineStr">
        <is>
          <t xml:space="preserve"/>
        </is>
      </c>
    </row>
  </sheetData>
</worksheet>
</file>

<file path=xl/worksheets/sheet3.xml><?xml version="1.0" encoding="utf-8"?>
<worksheet xmlns="http://schemas.openxmlformats.org/spreadsheetml/2006/main">
  <cols>
    <col min="1" max="1" width="36" customWidth="1"/>
    <col min="2" max="2" width="15" customWidth="1"/>
    <col min="3" max="3" width="88" customWidth="1"/>
  </cols>
  <sheetData>
    <row r="1">
      <c r="A1" s="2" t="inlineStr">
        <is>
          <t xml:space="preserve">Annahmen</t>
        </is>
      </c>
    </row>
    <row r="2">
      <c r="A2" s="7" t="inlineStr">
        <is>
          <t xml:space="preserve">Nur die gelben Felder ausfüllen.</t>
        </is>
      </c>
    </row>
    <row r="4">
      <c r="A4" s="1" t="inlineStr">
        <is>
          <t xml:space="preserve">UMSATZHERLEITUNG</t>
        </is>
      </c>
      <c r="B4" s="1" t="inlineStr">
        <is>
          <t xml:space="preserve">Wert</t>
        </is>
      </c>
      <c r="C4" s="1" t="inlineStr">
        <is>
          <t xml:space="preserve">Hinweis</t>
        </is>
      </c>
    </row>
    <row r="5">
      <c r="A5" s="0" t="inlineStr">
        <is>
          <t xml:space="preserve">Sitzplätze</t>
        </is>
      </c>
      <c r="B5" s="3">
        <v>60</v>
      </c>
      <c r="C5" s="7" t="inlineStr">
        <is>
          <t xml:space="preserve">Innen + Außen, realistisch nutzbar</t>
        </is>
      </c>
    </row>
    <row r="6">
      <c r="A6" s="0" t="inlineStr">
        <is>
          <t xml:space="preserve">Tischumschlag pro Öffnungstag</t>
        </is>
      </c>
      <c r="B6" s="3">
        <v>1.2</v>
      </c>
      <c r="C6" s="7" t="inlineStr">
        <is>
          <t xml:space="preserve">Wie oft ein Platz pro Tag neu besetzt wird</t>
        </is>
      </c>
    </row>
    <row r="7">
      <c r="A7" s="0" t="inlineStr">
        <is>
          <t xml:space="preserve">Durchschnittsbon je Gast (€)</t>
        </is>
      </c>
      <c r="B7" s="9">
        <v>30</v>
      </c>
      <c r="C7" s="7" t="inlineStr">
        <is>
          <t xml:space="preserve">Netto, ohne MwSt.</t>
        </is>
      </c>
    </row>
    <row r="8">
      <c r="A8" s="0" t="inlineStr">
        <is>
          <t xml:space="preserve">Öffnungstage pro Monat</t>
        </is>
      </c>
      <c r="B8" s="3">
        <v>26</v>
      </c>
      <c r="C8" s="7" t="inlineStr">
        <is>
          <t xml:space="preserve"/>
        </is>
      </c>
    </row>
    <row r="9">
      <c r="A9" s="0" t="inlineStr">
        <is>
          <t xml:space="preserve">Auslastung Monat 1</t>
        </is>
      </c>
      <c r="B9" s="4">
        <v>0.45</v>
      </c>
      <c r="C9" s="7" t="inlineStr">
        <is>
          <t xml:space="preserve">Anlaufphase</t>
        </is>
      </c>
    </row>
    <row r="10">
      <c r="A10" s="0" t="inlineStr">
        <is>
          <t xml:space="preserve">Auslastung ab Monat 7</t>
        </is>
      </c>
      <c r="B10" s="4">
        <v>0.67</v>
      </c>
      <c r="C10" s="7" t="inlineStr">
        <is>
          <t xml:space="preserve">Zielauslastung. Ergibt hier rund 451.000 € Jahresumsatz — der Durchschnitt eines deutschen Gastronomiebetriebs liegt bei 450.700 €.</t>
        </is>
      </c>
    </row>
    <row r="12">
      <c r="A12" s="1" t="inlineStr">
        <is>
          <t xml:space="preserve">LAUFENDE KOSTEN</t>
        </is>
      </c>
      <c r="B12" s="1" t="inlineStr">
        <is>
          <t xml:space="preserve">Wert</t>
        </is>
      </c>
      <c r="C12" s="1" t="inlineStr">
        <is>
          <t xml:space="preserve">Hinweis</t>
        </is>
      </c>
    </row>
    <row r="13">
      <c r="A13" s="0" t="inlineStr">
        <is>
          <t xml:space="preserve">Wareneinsatzquote</t>
        </is>
      </c>
      <c r="B13" s="4">
        <v>0.259</v>
      </c>
      <c r="C13" s="7" t="inlineStr">
        <is>
          <t xml:space="preserve">Branchen-Median 25,9 %</t>
        </is>
      </c>
    </row>
    <row r="14">
      <c r="A14" s="0" t="inlineStr">
        <is>
          <t xml:space="preserve">Personalkostenquote</t>
        </is>
      </c>
      <c r="B14" s="4">
        <v>0.347</v>
      </c>
      <c r="C14" s="7" t="inlineStr">
        <is>
          <t xml:space="preserve">Branchen-Median 34,7 %, oberes Quartil 42,6 %</t>
        </is>
      </c>
    </row>
    <row r="15">
      <c r="A15" s="0" t="inlineStr">
        <is>
          <t xml:space="preserve">Pacht / Miete pro Monat (€)</t>
        </is>
      </c>
      <c r="B15" s="9">
        <v>4000</v>
      </c>
      <c r="C15" s="7" t="inlineStr">
        <is>
          <t xml:space="preserve">Netto-Kaltmiete laut Mietvertrag</t>
        </is>
      </c>
    </row>
    <row r="16">
      <c r="A16" s="0" t="inlineStr">
        <is>
          <t xml:space="preserve">Sonstige Betriebskosten (€)</t>
        </is>
      </c>
      <c r="B16" s="9">
        <v>7000</v>
      </c>
      <c r="C16" s="7" t="inlineStr">
        <is>
          <t xml:space="preserve">Energie, Versicherung, Reinigung, Marketing, Buchhaltung, Reparaturen, GEMA</t>
        </is>
      </c>
    </row>
    <row r="17">
      <c r="A17" s="0" t="inlineStr">
        <is>
          <t xml:space="preserve">Abschreibungen pro Monat (€)</t>
        </is>
      </c>
      <c r="B17" s="9">
        <v>1200</v>
      </c>
      <c r="C17" s="7" t="inlineStr">
        <is>
          <t xml:space="preserve">Kapitalbedarf geteilt durch Nutzungsdauer in Monaten</t>
        </is>
      </c>
    </row>
    <row r="18">
      <c r="A18" s="0" t="inlineStr">
        <is>
          <t xml:space="preserve">Privatentnahme pro Monat (€)</t>
        </is>
      </c>
      <c r="B18" s="9">
        <v>0</v>
      </c>
      <c r="C18" s="7" t="inlineStr">
        <is>
          <t xml:space="preserve">ACHTUNG: Die Personalquote oben (Branchen-Median) enthält bei GmbHs bereits das Geschäftsführergehalt. Als Einzelunternehmer tragen Sie hier Ihren Lebensunterhalt ein UND senken dafür die Personalquote — sonst zählen Sie Ihren Lohn doppelt.</t>
        </is>
      </c>
    </row>
    <row r="20">
      <c r="A20" s="1" t="inlineStr">
        <is>
          <t xml:space="preserve">DARLEHEN</t>
        </is>
      </c>
      <c r="B20" s="1" t="inlineStr">
        <is>
          <t xml:space="preserve">Wert</t>
        </is>
      </c>
      <c r="C20" s="1" t="inlineStr">
        <is>
          <t xml:space="preserve">Hinweis</t>
        </is>
      </c>
    </row>
    <row r="21">
      <c r="A21" s="0" t="inlineStr">
        <is>
          <t xml:space="preserve">Darlehenssumme (€)</t>
        </is>
      </c>
      <c r="B21" s="5">
        <f>Investition!B15</f>
        <v>144000</v>
      </c>
      <c r="C21" s="7" t="inlineStr">
        <is>
          <t xml:space="preserve">kommt aus dem Blatt „Investition“</t>
        </is>
      </c>
    </row>
    <row r="22">
      <c r="A22" s="0" t="inlineStr">
        <is>
          <t xml:space="preserve">Zinssatz p. a.</t>
        </is>
      </c>
      <c r="B22" s="4">
        <v>0.055</v>
      </c>
      <c r="C22" s="7" t="inlineStr">
        <is>
          <t xml:space="preserve">Angebot Ihrer Hausbank einsetzen</t>
        </is>
      </c>
    </row>
    <row r="23">
      <c r="A23" s="0" t="inlineStr">
        <is>
          <t xml:space="preserve">Laufzeit (Jahre)</t>
        </is>
      </c>
      <c r="B23" s="3">
        <v>8</v>
      </c>
      <c r="C23" s="7" t="inlineStr">
        <is>
          <t xml:space="preserve"/>
        </is>
      </c>
    </row>
    <row r="25">
      <c r="A25" s="1" t="inlineStr">
        <is>
          <t xml:space="preserve">ABGELEITET</t>
        </is>
      </c>
      <c r="B25" s="1" t="inlineStr">
        <is>
          <t xml:space="preserve"/>
        </is>
      </c>
      <c r="C25" s="1" t="inlineStr">
        <is>
          <t xml:space="preserve"/>
        </is>
      </c>
    </row>
    <row r="26">
      <c r="A26" s="0" t="inlineStr">
        <is>
          <t xml:space="preserve">Umsatz bei Vollauslastung (€/Monat)</t>
        </is>
      </c>
      <c r="B26" s="5">
        <f>B5*B6*B7*B8</f>
        <v>56160</v>
      </c>
      <c r="C26" s="7" t="inlineStr">
        <is>
          <t xml:space="preserve">Sitzplätze × Umschlag × Bon × Öffnungstage</t>
        </is>
      </c>
    </row>
    <row r="27">
      <c r="A27" s="0" t="inlineStr">
        <is>
          <t xml:space="preserve">Kapitaldienst pro Monat (€)</t>
        </is>
      </c>
      <c r="B27" s="5">
        <f>IF(OR(B21=0,B23=0),0,-PMT(B22/12,B23*12,B21))</f>
        <v>1857.5024</v>
      </c>
      <c r="C27" s="7" t="inlineStr">
        <is>
          <t xml:space="preserve">Annuität aus Darlehen, Zins und Laufzeit</t>
        </is>
      </c>
    </row>
    <row r="28">
      <c r="A28" s="0" t="inlineStr">
        <is>
          <t xml:space="preserve">Break-even-Umsatz (€/Monat)</t>
        </is>
      </c>
      <c r="B28" s="5">
        <f>IF((1-B13-B14)=0,0,(B15+B16+B17+B27+B18)/(1-B13-B14))</f>
        <v>35678.9401</v>
      </c>
      <c r="C28" s="7" t="inlineStr">
        <is>
          <t xml:space="preserve">inklusive Kapitaldienst und Privatentnahme</t>
        </is>
      </c>
    </row>
  </sheetData>
</worksheet>
</file>

<file path=xl/worksheets/sheet4.xml><?xml version="1.0" encoding="utf-8"?>
<worksheet xmlns="http://schemas.openxmlformats.org/spreadsheetml/2006/main">
  <cols>
    <col min="1" max="1" width="7" customWidth="1"/>
    <col min="2" max="2" width="11" customWidth="1"/>
    <col min="3" max="14" width="15" customWidth="1"/>
  </cols>
  <sheetData>
    <row r="1">
      <c r="A1" s="1" t="inlineStr">
        <is>
          <t xml:space="preserve">Monat</t>
        </is>
      </c>
      <c r="B1" s="1" t="inlineStr">
        <is>
          <t xml:space="preserve">Auslastung</t>
        </is>
      </c>
      <c r="C1" s="1" t="inlineStr">
        <is>
          <t xml:space="preserve">Umsatz</t>
        </is>
      </c>
      <c r="D1" s="1" t="inlineStr">
        <is>
          <t xml:space="preserve">Wareneinsatz</t>
        </is>
      </c>
      <c r="E1" s="1" t="inlineStr">
        <is>
          <t xml:space="preserve">Personal</t>
        </is>
      </c>
      <c r="F1" s="1" t="inlineStr">
        <is>
          <t xml:space="preserve">Pacht</t>
        </is>
      </c>
      <c r="G1" s="1" t="inlineStr">
        <is>
          <t xml:space="preserve">Sonstige</t>
        </is>
      </c>
      <c r="H1" s="1" t="inlineStr">
        <is>
          <t xml:space="preserve">Abschreibung</t>
        </is>
      </c>
      <c r="I1" s="1" t="inlineStr">
        <is>
          <t xml:space="preserve">Betriebsergebnis</t>
        </is>
      </c>
      <c r="J1" s="1" t="inlineStr">
        <is>
          <t xml:space="preserve">Kapitaldienst</t>
        </is>
      </c>
      <c r="K1" s="1" t="inlineStr">
        <is>
          <t xml:space="preserve">Privatentnahme</t>
        </is>
      </c>
      <c r="L1" s="1" t="inlineStr">
        <is>
          <t xml:space="preserve">Ergebnis</t>
        </is>
      </c>
      <c r="M1" s="1" t="inlineStr">
        <is>
          <t xml:space="preserve">Kumuliert</t>
        </is>
      </c>
      <c r="N1" s="1" t="inlineStr">
        <is>
          <t xml:space="preserve">Liquidität</t>
        </is>
      </c>
    </row>
    <row r="2">
      <c r="A2" s="0">
        <v>1</v>
      </c>
      <c r="B2" s="6">
        <f>IF(A2&lt;=6,Annahmen!$B$9+(Annahmen!$B$10-Annahmen!$B$9)*(A2-1)/6,Annahmen!$B$10)</f>
        <v>0.45</v>
      </c>
      <c r="C2" s="5">
        <f>Annahmen!$B$26*B2</f>
        <v>25272</v>
      </c>
      <c r="D2" s="5">
        <f>C2*Annahmen!$B$13</f>
        <v>6545.448</v>
      </c>
      <c r="E2" s="5">
        <f>C2*Annahmen!$B$14</f>
        <v>8769.384</v>
      </c>
      <c r="F2" s="5">
        <f>Annahmen!$B$15</f>
        <v>4000</v>
      </c>
      <c r="G2" s="5">
        <f>Annahmen!$B$16</f>
        <v>7000</v>
      </c>
      <c r="H2" s="5">
        <f>Annahmen!$B$17</f>
        <v>1200</v>
      </c>
      <c r="I2" s="5">
        <f>C2-D2-E2-F2-G2-H2</f>
        <v>-2242.832</v>
      </c>
      <c r="J2" s="5">
        <f>Annahmen!$B$27</f>
        <v>1857.5024</v>
      </c>
      <c r="K2" s="5">
        <f>Annahmen!$B$18</f>
        <v>0</v>
      </c>
      <c r="L2" s="5">
        <f>I2-J2-K2</f>
        <v>-4100.3344</v>
      </c>
      <c r="M2" s="5">
        <f>L2</f>
        <v>-4100.3344</v>
      </c>
      <c r="N2" s="5">
        <f>Investition!B13+L2+H2</f>
        <v>7099.6656</v>
      </c>
    </row>
    <row r="3">
      <c r="A3" s="0">
        <v>2</v>
      </c>
      <c r="B3" s="6">
        <f>IF(A3&lt;=6,Annahmen!$B$9+(Annahmen!$B$10-Annahmen!$B$9)*(A3-1)/6,Annahmen!$B$10)</f>
        <v>0.4867</v>
      </c>
      <c r="C3" s="5">
        <f>Annahmen!$B$26*B3</f>
        <v>27331.2</v>
      </c>
      <c r="D3" s="5">
        <f>C3*Annahmen!$B$13</f>
        <v>7078.7808</v>
      </c>
      <c r="E3" s="5">
        <f>C3*Annahmen!$B$14</f>
        <v>9483.9264</v>
      </c>
      <c r="F3" s="5">
        <f>Annahmen!$B$15</f>
        <v>4000</v>
      </c>
      <c r="G3" s="5">
        <f>Annahmen!$B$16</f>
        <v>7000</v>
      </c>
      <c r="H3" s="5">
        <f>Annahmen!$B$17</f>
        <v>1200</v>
      </c>
      <c r="I3" s="5">
        <f>C3-D3-E3-F3-G3-H3</f>
        <v>-1431.5072</v>
      </c>
      <c r="J3" s="5">
        <f>Annahmen!$B$27</f>
        <v>1857.5024</v>
      </c>
      <c r="K3" s="5">
        <f>Annahmen!$B$18</f>
        <v>0</v>
      </c>
      <c r="L3" s="5">
        <f>I3-J3-K3</f>
        <v>-3289.0096</v>
      </c>
      <c r="M3" s="5">
        <f>M2+L3</f>
        <v>-7389.344</v>
      </c>
      <c r="N3" s="5">
        <f>N2+L3+H3</f>
        <v>5010.656</v>
      </c>
    </row>
    <row r="4">
      <c r="A4" s="0">
        <v>3</v>
      </c>
      <c r="B4" s="6">
        <f>IF(A4&lt;=6,Annahmen!$B$9+(Annahmen!$B$10-Annahmen!$B$9)*(A4-1)/6,Annahmen!$B$10)</f>
        <v>0.5233</v>
      </c>
      <c r="C4" s="5">
        <f>Annahmen!$B$26*B4</f>
        <v>29390.4</v>
      </c>
      <c r="D4" s="5">
        <f>C4*Annahmen!$B$13</f>
        <v>7612.1136</v>
      </c>
      <c r="E4" s="5">
        <f>C4*Annahmen!$B$14</f>
        <v>10198.4688</v>
      </c>
      <c r="F4" s="5">
        <f>Annahmen!$B$15</f>
        <v>4000</v>
      </c>
      <c r="G4" s="5">
        <f>Annahmen!$B$16</f>
        <v>7000</v>
      </c>
      <c r="H4" s="5">
        <f>Annahmen!$B$17</f>
        <v>1200</v>
      </c>
      <c r="I4" s="5">
        <f>C4-D4-E4-F4-G4-H4</f>
        <v>-620.1824</v>
      </c>
      <c r="J4" s="5">
        <f>Annahmen!$B$27</f>
        <v>1857.5024</v>
      </c>
      <c r="K4" s="5">
        <f>Annahmen!$B$18</f>
        <v>0</v>
      </c>
      <c r="L4" s="5">
        <f>I4-J4-K4</f>
        <v>-2477.6848</v>
      </c>
      <c r="M4" s="5">
        <f>M3+L4</f>
        <v>-9867.0288</v>
      </c>
      <c r="N4" s="5">
        <f>N3+L4+H4</f>
        <v>3732.9712</v>
      </c>
    </row>
    <row r="5">
      <c r="A5" s="0">
        <v>4</v>
      </c>
      <c r="B5" s="6">
        <f>IF(A5&lt;=6,Annahmen!$B$9+(Annahmen!$B$10-Annahmen!$B$9)*(A5-1)/6,Annahmen!$B$10)</f>
        <v>0.56</v>
      </c>
      <c r="C5" s="5">
        <f>Annahmen!$B$26*B5</f>
        <v>31449.6</v>
      </c>
      <c r="D5" s="5">
        <f>C5*Annahmen!$B$13</f>
        <v>8145.4464</v>
      </c>
      <c r="E5" s="5">
        <f>C5*Annahmen!$B$14</f>
        <v>10913.0112</v>
      </c>
      <c r="F5" s="5">
        <f>Annahmen!$B$15</f>
        <v>4000</v>
      </c>
      <c r="G5" s="5">
        <f>Annahmen!$B$16</f>
        <v>7000</v>
      </c>
      <c r="H5" s="5">
        <f>Annahmen!$B$17</f>
        <v>1200</v>
      </c>
      <c r="I5" s="5">
        <f>C5-D5-E5-F5-G5-H5</f>
        <v>191.1424</v>
      </c>
      <c r="J5" s="5">
        <f>Annahmen!$B$27</f>
        <v>1857.5024</v>
      </c>
      <c r="K5" s="5">
        <f>Annahmen!$B$18</f>
        <v>0</v>
      </c>
      <c r="L5" s="5">
        <f>I5-J5-K5</f>
        <v>-1666.36</v>
      </c>
      <c r="M5" s="5">
        <f>M4+L5</f>
        <v>-11533.3888</v>
      </c>
      <c r="N5" s="5">
        <f>N4+L5+H5</f>
        <v>3266.6112</v>
      </c>
    </row>
    <row r="6">
      <c r="A6" s="0">
        <v>5</v>
      </c>
      <c r="B6" s="6">
        <f>IF(A6&lt;=6,Annahmen!$B$9+(Annahmen!$B$10-Annahmen!$B$9)*(A6-1)/6,Annahmen!$B$10)</f>
        <v>0.5967</v>
      </c>
      <c r="C6" s="5">
        <f>Annahmen!$B$26*B6</f>
        <v>33508.8</v>
      </c>
      <c r="D6" s="5">
        <f>C6*Annahmen!$B$13</f>
        <v>8678.7792</v>
      </c>
      <c r="E6" s="5">
        <f>C6*Annahmen!$B$14</f>
        <v>11627.5536</v>
      </c>
      <c r="F6" s="5">
        <f>Annahmen!$B$15</f>
        <v>4000</v>
      </c>
      <c r="G6" s="5">
        <f>Annahmen!$B$16</f>
        <v>7000</v>
      </c>
      <c r="H6" s="5">
        <f>Annahmen!$B$17</f>
        <v>1200</v>
      </c>
      <c r="I6" s="5">
        <f>C6-D6-E6-F6-G6-H6</f>
        <v>1002.4672</v>
      </c>
      <c r="J6" s="5">
        <f>Annahmen!$B$27</f>
        <v>1857.5024</v>
      </c>
      <c r="K6" s="5">
        <f>Annahmen!$B$18</f>
        <v>0</v>
      </c>
      <c r="L6" s="5">
        <f>I6-J6-K6</f>
        <v>-855.0352</v>
      </c>
      <c r="M6" s="5">
        <f>M5+L6</f>
        <v>-12388.424</v>
      </c>
      <c r="N6" s="5">
        <f>N5+L6+H6</f>
        <v>3611.576</v>
      </c>
    </row>
    <row r="7">
      <c r="A7" s="0">
        <v>6</v>
      </c>
      <c r="B7" s="6">
        <f>IF(A7&lt;=6,Annahmen!$B$9+(Annahmen!$B$10-Annahmen!$B$9)*(A7-1)/6,Annahmen!$B$10)</f>
        <v>0.6333</v>
      </c>
      <c r="C7" s="5">
        <f>Annahmen!$B$26*B7</f>
        <v>35568</v>
      </c>
      <c r="D7" s="5">
        <f>C7*Annahmen!$B$13</f>
        <v>9212.112</v>
      </c>
      <c r="E7" s="5">
        <f>C7*Annahmen!$B$14</f>
        <v>12342.096</v>
      </c>
      <c r="F7" s="5">
        <f>Annahmen!$B$15</f>
        <v>4000</v>
      </c>
      <c r="G7" s="5">
        <f>Annahmen!$B$16</f>
        <v>7000</v>
      </c>
      <c r="H7" s="5">
        <f>Annahmen!$B$17</f>
        <v>1200</v>
      </c>
      <c r="I7" s="5">
        <f>C7-D7-E7-F7-G7-H7</f>
        <v>1813.792</v>
      </c>
      <c r="J7" s="5">
        <f>Annahmen!$B$27</f>
        <v>1857.5024</v>
      </c>
      <c r="K7" s="5">
        <f>Annahmen!$B$18</f>
        <v>0</v>
      </c>
      <c r="L7" s="5">
        <f>I7-J7-K7</f>
        <v>-43.7104</v>
      </c>
      <c r="M7" s="5">
        <f>M6+L7</f>
        <v>-12432.1344</v>
      </c>
      <c r="N7" s="5">
        <f>N6+L7+H7</f>
        <v>4767.8656</v>
      </c>
    </row>
    <row r="8">
      <c r="A8" s="0">
        <v>7</v>
      </c>
      <c r="B8" s="6">
        <f>IF(A8&lt;=6,Annahmen!$B$9+(Annahmen!$B$10-Annahmen!$B$9)*(A8-1)/6,Annahmen!$B$10)</f>
        <v>0.67</v>
      </c>
      <c r="C8" s="5">
        <f>Annahmen!$B$26*B8</f>
        <v>37627.2</v>
      </c>
      <c r="D8" s="5">
        <f>C8*Annahmen!$B$13</f>
        <v>9745.4448</v>
      </c>
      <c r="E8" s="5">
        <f>C8*Annahmen!$B$14</f>
        <v>13056.6384</v>
      </c>
      <c r="F8" s="5">
        <f>Annahmen!$B$15</f>
        <v>4000</v>
      </c>
      <c r="G8" s="5">
        <f>Annahmen!$B$16</f>
        <v>7000</v>
      </c>
      <c r="H8" s="5">
        <f>Annahmen!$B$17</f>
        <v>1200</v>
      </c>
      <c r="I8" s="5">
        <f>C8-D8-E8-F8-G8-H8</f>
        <v>2625.1168</v>
      </c>
      <c r="J8" s="5">
        <f>Annahmen!$B$27</f>
        <v>1857.5024</v>
      </c>
      <c r="K8" s="5">
        <f>Annahmen!$B$18</f>
        <v>0</v>
      </c>
      <c r="L8" s="5">
        <f>I8-J8-K8</f>
        <v>767.6144</v>
      </c>
      <c r="M8" s="5">
        <f>M7+L8</f>
        <v>-11664.52</v>
      </c>
      <c r="N8" s="5">
        <f>N7+L8+H8</f>
        <v>6735.48</v>
      </c>
    </row>
    <row r="9">
      <c r="A9" s="0">
        <v>8</v>
      </c>
      <c r="B9" s="6">
        <f>IF(A9&lt;=6,Annahmen!$B$9+(Annahmen!$B$10-Annahmen!$B$9)*(A9-1)/6,Annahmen!$B$10)</f>
        <v>0.67</v>
      </c>
      <c r="C9" s="5">
        <f>Annahmen!$B$26*B9</f>
        <v>37627.2</v>
      </c>
      <c r="D9" s="5">
        <f>C9*Annahmen!$B$13</f>
        <v>9745.4448</v>
      </c>
      <c r="E9" s="5">
        <f>C9*Annahmen!$B$14</f>
        <v>13056.6384</v>
      </c>
      <c r="F9" s="5">
        <f>Annahmen!$B$15</f>
        <v>4000</v>
      </c>
      <c r="G9" s="5">
        <f>Annahmen!$B$16</f>
        <v>7000</v>
      </c>
      <c r="H9" s="5">
        <f>Annahmen!$B$17</f>
        <v>1200</v>
      </c>
      <c r="I9" s="5">
        <f>C9-D9-E9-F9-G9-H9</f>
        <v>2625.1168</v>
      </c>
      <c r="J9" s="5">
        <f>Annahmen!$B$27</f>
        <v>1857.5024</v>
      </c>
      <c r="K9" s="5">
        <f>Annahmen!$B$18</f>
        <v>0</v>
      </c>
      <c r="L9" s="5">
        <f>I9-J9-K9</f>
        <v>767.6144</v>
      </c>
      <c r="M9" s="5">
        <f>M8+L9</f>
        <v>-10896.9055</v>
      </c>
      <c r="N9" s="5">
        <f>N8+L9+H9</f>
        <v>8703.0945</v>
      </c>
    </row>
    <row r="10">
      <c r="A10" s="0">
        <v>9</v>
      </c>
      <c r="B10" s="6">
        <f>IF(A10&lt;=6,Annahmen!$B$9+(Annahmen!$B$10-Annahmen!$B$9)*(A10-1)/6,Annahmen!$B$10)</f>
        <v>0.67</v>
      </c>
      <c r="C10" s="5">
        <f>Annahmen!$B$26*B10</f>
        <v>37627.2</v>
      </c>
      <c r="D10" s="5">
        <f>C10*Annahmen!$B$13</f>
        <v>9745.4448</v>
      </c>
      <c r="E10" s="5">
        <f>C10*Annahmen!$B$14</f>
        <v>13056.6384</v>
      </c>
      <c r="F10" s="5">
        <f>Annahmen!$B$15</f>
        <v>4000</v>
      </c>
      <c r="G10" s="5">
        <f>Annahmen!$B$16</f>
        <v>7000</v>
      </c>
      <c r="H10" s="5">
        <f>Annahmen!$B$17</f>
        <v>1200</v>
      </c>
      <c r="I10" s="5">
        <f>C10-D10-E10-F10-G10-H10</f>
        <v>2625.1168</v>
      </c>
      <c r="J10" s="5">
        <f>Annahmen!$B$27</f>
        <v>1857.5024</v>
      </c>
      <c r="K10" s="5">
        <f>Annahmen!$B$18</f>
        <v>0</v>
      </c>
      <c r="L10" s="5">
        <f>I10-J10-K10</f>
        <v>767.6144</v>
      </c>
      <c r="M10" s="5">
        <f>M9+L10</f>
        <v>-10129.2911</v>
      </c>
      <c r="N10" s="5">
        <f>N9+L10+H10</f>
        <v>10670.7089</v>
      </c>
    </row>
    <row r="11">
      <c r="A11" s="0">
        <v>10</v>
      </c>
      <c r="B11" s="6">
        <f>IF(A11&lt;=6,Annahmen!$B$9+(Annahmen!$B$10-Annahmen!$B$9)*(A11-1)/6,Annahmen!$B$10)</f>
        <v>0.67</v>
      </c>
      <c r="C11" s="5">
        <f>Annahmen!$B$26*B11</f>
        <v>37627.2</v>
      </c>
      <c r="D11" s="5">
        <f>C11*Annahmen!$B$13</f>
        <v>9745.4448</v>
      </c>
      <c r="E11" s="5">
        <f>C11*Annahmen!$B$14</f>
        <v>13056.6384</v>
      </c>
      <c r="F11" s="5">
        <f>Annahmen!$B$15</f>
        <v>4000</v>
      </c>
      <c r="G11" s="5">
        <f>Annahmen!$B$16</f>
        <v>7000</v>
      </c>
      <c r="H11" s="5">
        <f>Annahmen!$B$17</f>
        <v>1200</v>
      </c>
      <c r="I11" s="5">
        <f>C11-D11-E11-F11-G11-H11</f>
        <v>2625.1168</v>
      </c>
      <c r="J11" s="5">
        <f>Annahmen!$B$27</f>
        <v>1857.5024</v>
      </c>
      <c r="K11" s="5">
        <f>Annahmen!$B$18</f>
        <v>0</v>
      </c>
      <c r="L11" s="5">
        <f>I11-J11-K11</f>
        <v>767.6144</v>
      </c>
      <c r="M11" s="5">
        <f>M10+L11</f>
        <v>-9361.6767</v>
      </c>
      <c r="N11" s="5">
        <f>N10+L11+H11</f>
        <v>12638.3233</v>
      </c>
    </row>
    <row r="12">
      <c r="A12" s="0">
        <v>11</v>
      </c>
      <c r="B12" s="6">
        <f>IF(A12&lt;=6,Annahmen!$B$9+(Annahmen!$B$10-Annahmen!$B$9)*(A12-1)/6,Annahmen!$B$10)</f>
        <v>0.67</v>
      </c>
      <c r="C12" s="5">
        <f>Annahmen!$B$26*B12</f>
        <v>37627.2</v>
      </c>
      <c r="D12" s="5">
        <f>C12*Annahmen!$B$13</f>
        <v>9745.4448</v>
      </c>
      <c r="E12" s="5">
        <f>C12*Annahmen!$B$14</f>
        <v>13056.6384</v>
      </c>
      <c r="F12" s="5">
        <f>Annahmen!$B$15</f>
        <v>4000</v>
      </c>
      <c r="G12" s="5">
        <f>Annahmen!$B$16</f>
        <v>7000</v>
      </c>
      <c r="H12" s="5">
        <f>Annahmen!$B$17</f>
        <v>1200</v>
      </c>
      <c r="I12" s="5">
        <f>C12-D12-E12-F12-G12-H12</f>
        <v>2625.1168</v>
      </c>
      <c r="J12" s="5">
        <f>Annahmen!$B$27</f>
        <v>1857.5024</v>
      </c>
      <c r="K12" s="5">
        <f>Annahmen!$B$18</f>
        <v>0</v>
      </c>
      <c r="L12" s="5">
        <f>I12-J12-K12</f>
        <v>767.6144</v>
      </c>
      <c r="M12" s="5">
        <f>M11+L12</f>
        <v>-8594.0623</v>
      </c>
      <c r="N12" s="5">
        <f>N11+L12+H12</f>
        <v>14605.9377</v>
      </c>
    </row>
    <row r="13">
      <c r="A13" s="0">
        <v>12</v>
      </c>
      <c r="B13" s="6">
        <f>IF(A13&lt;=6,Annahmen!$B$9+(Annahmen!$B$10-Annahmen!$B$9)*(A13-1)/6,Annahmen!$B$10)</f>
        <v>0.67</v>
      </c>
      <c r="C13" s="5">
        <f>Annahmen!$B$26*B13</f>
        <v>37627.2</v>
      </c>
      <c r="D13" s="5">
        <f>C13*Annahmen!$B$13</f>
        <v>9745.4448</v>
      </c>
      <c r="E13" s="5">
        <f>C13*Annahmen!$B$14</f>
        <v>13056.6384</v>
      </c>
      <c r="F13" s="5">
        <f>Annahmen!$B$15</f>
        <v>4000</v>
      </c>
      <c r="G13" s="5">
        <f>Annahmen!$B$16</f>
        <v>7000</v>
      </c>
      <c r="H13" s="5">
        <f>Annahmen!$B$17</f>
        <v>1200</v>
      </c>
      <c r="I13" s="5">
        <f>C13-D13-E13-F13-G13-H13</f>
        <v>2625.1168</v>
      </c>
      <c r="J13" s="5">
        <f>Annahmen!$B$27</f>
        <v>1857.5024</v>
      </c>
      <c r="K13" s="5">
        <f>Annahmen!$B$18</f>
        <v>0</v>
      </c>
      <c r="L13" s="5">
        <f>I13-J13-K13</f>
        <v>767.6144</v>
      </c>
      <c r="M13" s="5">
        <f>M12+L13</f>
        <v>-7826.4479</v>
      </c>
      <c r="N13" s="5">
        <f>N12+L13+H13</f>
        <v>16573.5521</v>
      </c>
    </row>
    <row r="14">
      <c r="A14" s="0">
        <v>13</v>
      </c>
      <c r="B14" s="6">
        <f>IF(A14&lt;=6,Annahmen!$B$9+(Annahmen!$B$10-Annahmen!$B$9)*(A14-1)/6,Annahmen!$B$10)</f>
        <v>0.67</v>
      </c>
      <c r="C14" s="5">
        <f>Annahmen!$B$26*B14</f>
        <v>37627.2</v>
      </c>
      <c r="D14" s="5">
        <f>C14*Annahmen!$B$13</f>
        <v>9745.4448</v>
      </c>
      <c r="E14" s="5">
        <f>C14*Annahmen!$B$14</f>
        <v>13056.6384</v>
      </c>
      <c r="F14" s="5">
        <f>Annahmen!$B$15</f>
        <v>4000</v>
      </c>
      <c r="G14" s="5">
        <f>Annahmen!$B$16</f>
        <v>7000</v>
      </c>
      <c r="H14" s="5">
        <f>Annahmen!$B$17</f>
        <v>1200</v>
      </c>
      <c r="I14" s="5">
        <f>C14-D14-E14-F14-G14-H14</f>
        <v>2625.1168</v>
      </c>
      <c r="J14" s="5">
        <f>Annahmen!$B$27</f>
        <v>1857.5024</v>
      </c>
      <c r="K14" s="5">
        <f>Annahmen!$B$18</f>
        <v>0</v>
      </c>
      <c r="L14" s="5">
        <f>I14-J14-K14</f>
        <v>767.6144</v>
      </c>
      <c r="M14" s="5">
        <f>M13+L14</f>
        <v>-7058.8335</v>
      </c>
      <c r="N14" s="5">
        <f>N13+L14+H14</f>
        <v>18541.1665</v>
      </c>
    </row>
    <row r="15">
      <c r="A15" s="0">
        <v>14</v>
      </c>
      <c r="B15" s="6">
        <f>IF(A15&lt;=6,Annahmen!$B$9+(Annahmen!$B$10-Annahmen!$B$9)*(A15-1)/6,Annahmen!$B$10)</f>
        <v>0.67</v>
      </c>
      <c r="C15" s="5">
        <f>Annahmen!$B$26*B15</f>
        <v>37627.2</v>
      </c>
      <c r="D15" s="5">
        <f>C15*Annahmen!$B$13</f>
        <v>9745.4448</v>
      </c>
      <c r="E15" s="5">
        <f>C15*Annahmen!$B$14</f>
        <v>13056.6384</v>
      </c>
      <c r="F15" s="5">
        <f>Annahmen!$B$15</f>
        <v>4000</v>
      </c>
      <c r="G15" s="5">
        <f>Annahmen!$B$16</f>
        <v>7000</v>
      </c>
      <c r="H15" s="5">
        <f>Annahmen!$B$17</f>
        <v>1200</v>
      </c>
      <c r="I15" s="5">
        <f>C15-D15-E15-F15-G15-H15</f>
        <v>2625.1168</v>
      </c>
      <c r="J15" s="5">
        <f>Annahmen!$B$27</f>
        <v>1857.5024</v>
      </c>
      <c r="K15" s="5">
        <f>Annahmen!$B$18</f>
        <v>0</v>
      </c>
      <c r="L15" s="5">
        <f>I15-J15-K15</f>
        <v>767.6144</v>
      </c>
      <c r="M15" s="5">
        <f>M14+L15</f>
        <v>-6291.2191</v>
      </c>
      <c r="N15" s="5">
        <f>N14+L15+H15</f>
        <v>20508.7809</v>
      </c>
    </row>
    <row r="16">
      <c r="A16" s="0">
        <v>15</v>
      </c>
      <c r="B16" s="6">
        <f>IF(A16&lt;=6,Annahmen!$B$9+(Annahmen!$B$10-Annahmen!$B$9)*(A16-1)/6,Annahmen!$B$10)</f>
        <v>0.67</v>
      </c>
      <c r="C16" s="5">
        <f>Annahmen!$B$26*B16</f>
        <v>37627.2</v>
      </c>
      <c r="D16" s="5">
        <f>C16*Annahmen!$B$13</f>
        <v>9745.4448</v>
      </c>
      <c r="E16" s="5">
        <f>C16*Annahmen!$B$14</f>
        <v>13056.6384</v>
      </c>
      <c r="F16" s="5">
        <f>Annahmen!$B$15</f>
        <v>4000</v>
      </c>
      <c r="G16" s="5">
        <f>Annahmen!$B$16</f>
        <v>7000</v>
      </c>
      <c r="H16" s="5">
        <f>Annahmen!$B$17</f>
        <v>1200</v>
      </c>
      <c r="I16" s="5">
        <f>C16-D16-E16-F16-G16-H16</f>
        <v>2625.1168</v>
      </c>
      <c r="J16" s="5">
        <f>Annahmen!$B$27</f>
        <v>1857.5024</v>
      </c>
      <c r="K16" s="5">
        <f>Annahmen!$B$18</f>
        <v>0</v>
      </c>
      <c r="L16" s="5">
        <f>I16-J16-K16</f>
        <v>767.6144</v>
      </c>
      <c r="M16" s="5">
        <f>M15+L16</f>
        <v>-5523.6047</v>
      </c>
      <c r="N16" s="5">
        <f>N15+L16+H16</f>
        <v>22476.3953</v>
      </c>
    </row>
    <row r="17">
      <c r="A17" s="0">
        <v>16</v>
      </c>
      <c r="B17" s="6">
        <f>IF(A17&lt;=6,Annahmen!$B$9+(Annahmen!$B$10-Annahmen!$B$9)*(A17-1)/6,Annahmen!$B$10)</f>
        <v>0.67</v>
      </c>
      <c r="C17" s="5">
        <f>Annahmen!$B$26*B17</f>
        <v>37627.2</v>
      </c>
      <c r="D17" s="5">
        <f>C17*Annahmen!$B$13</f>
        <v>9745.4448</v>
      </c>
      <c r="E17" s="5">
        <f>C17*Annahmen!$B$14</f>
        <v>13056.6384</v>
      </c>
      <c r="F17" s="5">
        <f>Annahmen!$B$15</f>
        <v>4000</v>
      </c>
      <c r="G17" s="5">
        <f>Annahmen!$B$16</f>
        <v>7000</v>
      </c>
      <c r="H17" s="5">
        <f>Annahmen!$B$17</f>
        <v>1200</v>
      </c>
      <c r="I17" s="5">
        <f>C17-D17-E17-F17-G17-H17</f>
        <v>2625.1168</v>
      </c>
      <c r="J17" s="5">
        <f>Annahmen!$B$27</f>
        <v>1857.5024</v>
      </c>
      <c r="K17" s="5">
        <f>Annahmen!$B$18</f>
        <v>0</v>
      </c>
      <c r="L17" s="5">
        <f>I17-J17-K17</f>
        <v>767.6144</v>
      </c>
      <c r="M17" s="5">
        <f>M16+L17</f>
        <v>-4755.9903</v>
      </c>
      <c r="N17" s="5">
        <f>N16+L17+H17</f>
        <v>24444.0097</v>
      </c>
    </row>
    <row r="18">
      <c r="A18" s="0">
        <v>17</v>
      </c>
      <c r="B18" s="6">
        <f>IF(A18&lt;=6,Annahmen!$B$9+(Annahmen!$B$10-Annahmen!$B$9)*(A18-1)/6,Annahmen!$B$10)</f>
        <v>0.67</v>
      </c>
      <c r="C18" s="5">
        <f>Annahmen!$B$26*B18</f>
        <v>37627.2</v>
      </c>
      <c r="D18" s="5">
        <f>C18*Annahmen!$B$13</f>
        <v>9745.4448</v>
      </c>
      <c r="E18" s="5">
        <f>C18*Annahmen!$B$14</f>
        <v>13056.6384</v>
      </c>
      <c r="F18" s="5">
        <f>Annahmen!$B$15</f>
        <v>4000</v>
      </c>
      <c r="G18" s="5">
        <f>Annahmen!$B$16</f>
        <v>7000</v>
      </c>
      <c r="H18" s="5">
        <f>Annahmen!$B$17</f>
        <v>1200</v>
      </c>
      <c r="I18" s="5">
        <f>C18-D18-E18-F18-G18-H18</f>
        <v>2625.1168</v>
      </c>
      <c r="J18" s="5">
        <f>Annahmen!$B$27</f>
        <v>1857.5024</v>
      </c>
      <c r="K18" s="5">
        <f>Annahmen!$B$18</f>
        <v>0</v>
      </c>
      <c r="L18" s="5">
        <f>I18-J18-K18</f>
        <v>767.6144</v>
      </c>
      <c r="M18" s="5">
        <f>M17+L18</f>
        <v>-3988.3759</v>
      </c>
      <c r="N18" s="5">
        <f>N17+L18+H18</f>
        <v>26411.6241</v>
      </c>
    </row>
    <row r="19">
      <c r="A19" s="0">
        <v>18</v>
      </c>
      <c r="B19" s="6">
        <f>IF(A19&lt;=6,Annahmen!$B$9+(Annahmen!$B$10-Annahmen!$B$9)*(A19-1)/6,Annahmen!$B$10)</f>
        <v>0.67</v>
      </c>
      <c r="C19" s="5">
        <f>Annahmen!$B$26*B19</f>
        <v>37627.2</v>
      </c>
      <c r="D19" s="5">
        <f>C19*Annahmen!$B$13</f>
        <v>9745.4448</v>
      </c>
      <c r="E19" s="5">
        <f>C19*Annahmen!$B$14</f>
        <v>13056.6384</v>
      </c>
      <c r="F19" s="5">
        <f>Annahmen!$B$15</f>
        <v>4000</v>
      </c>
      <c r="G19" s="5">
        <f>Annahmen!$B$16</f>
        <v>7000</v>
      </c>
      <c r="H19" s="5">
        <f>Annahmen!$B$17</f>
        <v>1200</v>
      </c>
      <c r="I19" s="5">
        <f>C19-D19-E19-F19-G19-H19</f>
        <v>2625.1168</v>
      </c>
      <c r="J19" s="5">
        <f>Annahmen!$B$27</f>
        <v>1857.5024</v>
      </c>
      <c r="K19" s="5">
        <f>Annahmen!$B$18</f>
        <v>0</v>
      </c>
      <c r="L19" s="5">
        <f>I19-J19-K19</f>
        <v>767.6144</v>
      </c>
      <c r="M19" s="5">
        <f>M18+L19</f>
        <v>-3220.7615</v>
      </c>
      <c r="N19" s="5">
        <f>N18+L19+H19</f>
        <v>28379.2385</v>
      </c>
    </row>
    <row r="20">
      <c r="A20" s="0">
        <v>19</v>
      </c>
      <c r="B20" s="6">
        <f>IF(A20&lt;=6,Annahmen!$B$9+(Annahmen!$B$10-Annahmen!$B$9)*(A20-1)/6,Annahmen!$B$10)</f>
        <v>0.67</v>
      </c>
      <c r="C20" s="5">
        <f>Annahmen!$B$26*B20</f>
        <v>37627.2</v>
      </c>
      <c r="D20" s="5">
        <f>C20*Annahmen!$B$13</f>
        <v>9745.4448</v>
      </c>
      <c r="E20" s="5">
        <f>C20*Annahmen!$B$14</f>
        <v>13056.6384</v>
      </c>
      <c r="F20" s="5">
        <f>Annahmen!$B$15</f>
        <v>4000</v>
      </c>
      <c r="G20" s="5">
        <f>Annahmen!$B$16</f>
        <v>7000</v>
      </c>
      <c r="H20" s="5">
        <f>Annahmen!$B$17</f>
        <v>1200</v>
      </c>
      <c r="I20" s="5">
        <f>C20-D20-E20-F20-G20-H20</f>
        <v>2625.1168</v>
      </c>
      <c r="J20" s="5">
        <f>Annahmen!$B$27</f>
        <v>1857.5024</v>
      </c>
      <c r="K20" s="5">
        <f>Annahmen!$B$18</f>
        <v>0</v>
      </c>
      <c r="L20" s="5">
        <f>I20-J20-K20</f>
        <v>767.6144</v>
      </c>
      <c r="M20" s="5">
        <f>M19+L20</f>
        <v>-2453.1471</v>
      </c>
      <c r="N20" s="5">
        <f>N19+L20+H20</f>
        <v>30346.8529</v>
      </c>
    </row>
    <row r="21">
      <c r="A21" s="0">
        <v>20</v>
      </c>
      <c r="B21" s="6">
        <f>IF(A21&lt;=6,Annahmen!$B$9+(Annahmen!$B$10-Annahmen!$B$9)*(A21-1)/6,Annahmen!$B$10)</f>
        <v>0.67</v>
      </c>
      <c r="C21" s="5">
        <f>Annahmen!$B$26*B21</f>
        <v>37627.2</v>
      </c>
      <c r="D21" s="5">
        <f>C21*Annahmen!$B$13</f>
        <v>9745.4448</v>
      </c>
      <c r="E21" s="5">
        <f>C21*Annahmen!$B$14</f>
        <v>13056.6384</v>
      </c>
      <c r="F21" s="5">
        <f>Annahmen!$B$15</f>
        <v>4000</v>
      </c>
      <c r="G21" s="5">
        <f>Annahmen!$B$16</f>
        <v>7000</v>
      </c>
      <c r="H21" s="5">
        <f>Annahmen!$B$17</f>
        <v>1200</v>
      </c>
      <c r="I21" s="5">
        <f>C21-D21-E21-F21-G21-H21</f>
        <v>2625.1168</v>
      </c>
      <c r="J21" s="5">
        <f>Annahmen!$B$27</f>
        <v>1857.5024</v>
      </c>
      <c r="K21" s="5">
        <f>Annahmen!$B$18</f>
        <v>0</v>
      </c>
      <c r="L21" s="5">
        <f>I21-J21-K21</f>
        <v>767.6144</v>
      </c>
      <c r="M21" s="5">
        <f>M20+L21</f>
        <v>-1685.5327</v>
      </c>
      <c r="N21" s="5">
        <f>N20+L21+H21</f>
        <v>32314.4673</v>
      </c>
    </row>
    <row r="22">
      <c r="A22" s="0">
        <v>21</v>
      </c>
      <c r="B22" s="6">
        <f>IF(A22&lt;=6,Annahmen!$B$9+(Annahmen!$B$10-Annahmen!$B$9)*(A22-1)/6,Annahmen!$B$10)</f>
        <v>0.67</v>
      </c>
      <c r="C22" s="5">
        <f>Annahmen!$B$26*B22</f>
        <v>37627.2</v>
      </c>
      <c r="D22" s="5">
        <f>C22*Annahmen!$B$13</f>
        <v>9745.4448</v>
      </c>
      <c r="E22" s="5">
        <f>C22*Annahmen!$B$14</f>
        <v>13056.6384</v>
      </c>
      <c r="F22" s="5">
        <f>Annahmen!$B$15</f>
        <v>4000</v>
      </c>
      <c r="G22" s="5">
        <f>Annahmen!$B$16</f>
        <v>7000</v>
      </c>
      <c r="H22" s="5">
        <f>Annahmen!$B$17</f>
        <v>1200</v>
      </c>
      <c r="I22" s="5">
        <f>C22-D22-E22-F22-G22-H22</f>
        <v>2625.1168</v>
      </c>
      <c r="J22" s="5">
        <f>Annahmen!$B$27</f>
        <v>1857.5024</v>
      </c>
      <c r="K22" s="5">
        <f>Annahmen!$B$18</f>
        <v>0</v>
      </c>
      <c r="L22" s="5">
        <f>I22-J22-K22</f>
        <v>767.6144</v>
      </c>
      <c r="M22" s="5">
        <f>M21+L22</f>
        <v>-917.9183</v>
      </c>
      <c r="N22" s="5">
        <f>N21+L22+H22</f>
        <v>34282.0817</v>
      </c>
    </row>
    <row r="23">
      <c r="A23" s="0">
        <v>22</v>
      </c>
      <c r="B23" s="6">
        <f>IF(A23&lt;=6,Annahmen!$B$9+(Annahmen!$B$10-Annahmen!$B$9)*(A23-1)/6,Annahmen!$B$10)</f>
        <v>0.67</v>
      </c>
      <c r="C23" s="5">
        <f>Annahmen!$B$26*B23</f>
        <v>37627.2</v>
      </c>
      <c r="D23" s="5">
        <f>C23*Annahmen!$B$13</f>
        <v>9745.4448</v>
      </c>
      <c r="E23" s="5">
        <f>C23*Annahmen!$B$14</f>
        <v>13056.6384</v>
      </c>
      <c r="F23" s="5">
        <f>Annahmen!$B$15</f>
        <v>4000</v>
      </c>
      <c r="G23" s="5">
        <f>Annahmen!$B$16</f>
        <v>7000</v>
      </c>
      <c r="H23" s="5">
        <f>Annahmen!$B$17</f>
        <v>1200</v>
      </c>
      <c r="I23" s="5">
        <f>C23-D23-E23-F23-G23-H23</f>
        <v>2625.1168</v>
      </c>
      <c r="J23" s="5">
        <f>Annahmen!$B$27</f>
        <v>1857.5024</v>
      </c>
      <c r="K23" s="5">
        <f>Annahmen!$B$18</f>
        <v>0</v>
      </c>
      <c r="L23" s="5">
        <f>I23-J23-K23</f>
        <v>767.6144</v>
      </c>
      <c r="M23" s="5">
        <f>M22+L23</f>
        <v>-150.3039</v>
      </c>
      <c r="N23" s="5">
        <f>N22+L23+H23</f>
        <v>36249.6961</v>
      </c>
    </row>
    <row r="24">
      <c r="A24" s="0">
        <v>23</v>
      </c>
      <c r="B24" s="6">
        <f>IF(A24&lt;=6,Annahmen!$B$9+(Annahmen!$B$10-Annahmen!$B$9)*(A24-1)/6,Annahmen!$B$10)</f>
        <v>0.67</v>
      </c>
      <c r="C24" s="5">
        <f>Annahmen!$B$26*B24</f>
        <v>37627.2</v>
      </c>
      <c r="D24" s="5">
        <f>C24*Annahmen!$B$13</f>
        <v>9745.4448</v>
      </c>
      <c r="E24" s="5">
        <f>C24*Annahmen!$B$14</f>
        <v>13056.6384</v>
      </c>
      <c r="F24" s="5">
        <f>Annahmen!$B$15</f>
        <v>4000</v>
      </c>
      <c r="G24" s="5">
        <f>Annahmen!$B$16</f>
        <v>7000</v>
      </c>
      <c r="H24" s="5">
        <f>Annahmen!$B$17</f>
        <v>1200</v>
      </c>
      <c r="I24" s="5">
        <f>C24-D24-E24-F24-G24-H24</f>
        <v>2625.1168</v>
      </c>
      <c r="J24" s="5">
        <f>Annahmen!$B$27</f>
        <v>1857.5024</v>
      </c>
      <c r="K24" s="5">
        <f>Annahmen!$B$18</f>
        <v>0</v>
      </c>
      <c r="L24" s="5">
        <f>I24-J24-K24</f>
        <v>767.6144</v>
      </c>
      <c r="M24" s="5">
        <f>M23+L24</f>
        <v>617.3106</v>
      </c>
      <c r="N24" s="5">
        <f>N23+L24+H24</f>
        <v>38217.3106</v>
      </c>
    </row>
    <row r="25">
      <c r="A25" s="0">
        <v>24</v>
      </c>
      <c r="B25" s="6">
        <f>IF(A25&lt;=6,Annahmen!$B$9+(Annahmen!$B$10-Annahmen!$B$9)*(A25-1)/6,Annahmen!$B$10)</f>
        <v>0.67</v>
      </c>
      <c r="C25" s="5">
        <f>Annahmen!$B$26*B25</f>
        <v>37627.2</v>
      </c>
      <c r="D25" s="5">
        <f>C25*Annahmen!$B$13</f>
        <v>9745.4448</v>
      </c>
      <c r="E25" s="5">
        <f>C25*Annahmen!$B$14</f>
        <v>13056.6384</v>
      </c>
      <c r="F25" s="5">
        <f>Annahmen!$B$15</f>
        <v>4000</v>
      </c>
      <c r="G25" s="5">
        <f>Annahmen!$B$16</f>
        <v>7000</v>
      </c>
      <c r="H25" s="5">
        <f>Annahmen!$B$17</f>
        <v>1200</v>
      </c>
      <c r="I25" s="5">
        <f>C25-D25-E25-F25-G25-H25</f>
        <v>2625.1168</v>
      </c>
      <c r="J25" s="5">
        <f>Annahmen!$B$27</f>
        <v>1857.5024</v>
      </c>
      <c r="K25" s="5">
        <f>Annahmen!$B$18</f>
        <v>0</v>
      </c>
      <c r="L25" s="5">
        <f>I25-J25-K25</f>
        <v>767.6144</v>
      </c>
      <c r="M25" s="5">
        <f>M24+L25</f>
        <v>1384.925</v>
      </c>
      <c r="N25" s="5">
        <f>N24+L25+H25</f>
        <v>40184.925</v>
      </c>
    </row>
    <row r="27">
      <c r="A27" s="1" t="inlineStr">
        <is>
          <t xml:space="preserve">Summe 24 Monate</t>
        </is>
      </c>
      <c r="B27" s="1" t="inlineStr">
        <is>
          <t xml:space="preserve"/>
        </is>
      </c>
      <c r="C27" s="8">
        <f>SUM(C2:C25)</f>
        <v>859809.6</v>
      </c>
      <c r="D27" s="8">
        <f>SUM(D2:D25)</f>
        <v>222690.6864</v>
      </c>
      <c r="E27" s="8">
        <f>SUM(E2:E25)</f>
        <v>298353.9312</v>
      </c>
      <c r="F27" s="8">
        <f>SUM(F2:F25)</f>
        <v>96000</v>
      </c>
      <c r="G27" s="8">
        <f>SUM(G2:G25)</f>
        <v>168000</v>
      </c>
      <c r="H27" s="8">
        <f>SUM(H2:H25)</f>
        <v>28800</v>
      </c>
      <c r="I27" s="8">
        <f>SUM(I2:I25)</f>
        <v>45964.9824</v>
      </c>
      <c r="J27" s="8">
        <f>SUM(J2:J25)</f>
        <v>44580.0574</v>
      </c>
      <c r="K27" s="8">
        <f>SUM(K2:K25)</f>
        <v>0</v>
      </c>
      <c r="L27" s="8">
        <f>SUM(L2:L25)</f>
        <v>1384.925</v>
      </c>
      <c r="M27" s="1" t="inlineStr">
        <is>
          <t xml:space="preserve"/>
        </is>
      </c>
      <c r="N27" s="1" t="inlineStr">
        <is>
          <t xml:space="preserve"/>
        </is>
      </c>
    </row>
    <row r="29">
      <c r="A29" s="7" t="inlineStr">
        <is>
          <t xml:space="preserve">Spalte „Liquidität“ startet mit der Anlaufreserve aus dem Investitionsblatt und addiert die Abschreibung zurück (sie ist kein Geldabfluss). Der niedrigste Wert dieser Spalte ist die Zahl, die im Bankgespräch zählt.</t>
        </is>
      </c>
    </row>
  </sheetData>
</worksheet>
</file>

<file path=xl/worksheets/sheet5.xml><?xml version="1.0" encoding="utf-8"?>
<worksheet xmlns="http://schemas.openxmlformats.org/spreadsheetml/2006/main">
  <cols>
    <col min="1" max="1" width="34" customWidth="1"/>
    <col min="2" max="2" width="15" customWidth="1"/>
    <col min="3" max="3" width="17" customWidth="1"/>
    <col min="4" max="4" width="15" customWidth="1"/>
    <col min="5" max="5" width="52" customWidth="1"/>
  </cols>
  <sheetData>
    <row r="1">
      <c r="A1" s="2" t="inlineStr">
        <is>
          <t xml:space="preserve">Bank-Check — Ihre Zahlen gegen die Branche</t>
        </is>
      </c>
    </row>
    <row r="2">
      <c r="A2" s="7" t="inlineStr">
        <is>
          <t xml:space="preserve">Vergleichswerte: Deutsche Bundesbank, Jahresabschlussstatistik Mai 2025, Gastgewerbe, n = 1.851 Unternehmen.</t>
        </is>
      </c>
    </row>
    <row r="4">
      <c r="A4" s="1" t="inlineStr">
        <is>
          <t xml:space="preserve">Kennzahl</t>
        </is>
      </c>
      <c r="B4" s="1" t="inlineStr">
        <is>
          <t xml:space="preserve">Ihr Wert</t>
        </is>
      </c>
      <c r="C4" s="1" t="inlineStr">
        <is>
          <t xml:space="preserve">Branchen-Median</t>
        </is>
      </c>
      <c r="D4" s="1" t="inlineStr">
        <is>
          <t xml:space="preserve">oberes Quartil</t>
        </is>
      </c>
      <c r="E4" s="1" t="inlineStr">
        <is>
          <t xml:space="preserve">Urteil</t>
        </is>
      </c>
    </row>
    <row r="5">
      <c r="A5" s="0" t="inlineStr">
        <is>
          <t xml:space="preserve">Wareneinsatzquote</t>
        </is>
      </c>
      <c r="B5" s="6">
        <f>Annahmen!B13</f>
        <v>0.259</v>
      </c>
      <c r="C5" s="12">
        <v>0.259</v>
      </c>
      <c r="D5" s="12">
        <v>0.314</v>
      </c>
      <c r="E5" s="11" t="str">
        <f>IF(B5&lt;=C5,"im Zielbereich",IF(B5&lt;=D5,"über dem Median — vertretbar","oberes Viertel — begründen"))</f>
        <v>im Zielbereich</v>
      </c>
    </row>
    <row r="6">
      <c r="A6" s="0" t="inlineStr">
        <is>
          <t xml:space="preserve">Personalkostenquote</t>
        </is>
      </c>
      <c r="B6" s="6">
        <f>Annahmen!B14</f>
        <v>0.347</v>
      </c>
      <c r="C6" s="12">
        <v>0.347</v>
      </c>
      <c r="D6" s="12">
        <v>0.426</v>
      </c>
      <c r="E6" s="11" t="str">
        <f>IF(B6&lt;=C6,"im Zielbereich",IF(B6&lt;=D6,"über dem Median — vertretbar","oberes Viertel — begründen"))</f>
        <v>im Zielbereich</v>
      </c>
    </row>
    <row r="7">
      <c r="A7" s="0" t="inlineStr">
        <is>
          <t xml:space="preserve">Prime Cost (Ware + Personal)</t>
        </is>
      </c>
      <c r="B7" s="6">
        <f>B5+B6</f>
        <v>0.606</v>
      </c>
      <c r="C7" s="12">
        <v>0.623</v>
      </c>
      <c r="D7" s="11" t="inlineStr">
        <is>
          <t xml:space="preserve"/>
        </is>
      </c>
      <c r="E7" s="11" t="str">
        <f>IF(B7&lt;=C7,"im Zielbereich","über dem Branchenwert — Marge prüfen")</f>
        <v>im Zielbereich</v>
      </c>
    </row>
    <row r="8">
      <c r="A8" s="0" t="inlineStr">
        <is>
          <t xml:space="preserve">Betriebsergebnis in % vom Umsatz, Jahr 2</t>
        </is>
      </c>
      <c r="B8" s="6">
        <f>IF(SUM('Plan 24 Monate'!C14:C25)=0,0,SUM('Plan 24 Monate'!I14:I25)/SUM('Plan 24 Monate'!C14:C25))</f>
        <v>0.0698</v>
      </c>
      <c r="C8" s="12">
        <v>0.033</v>
      </c>
      <c r="D8" s="11" t="inlineStr">
        <is>
          <t xml:space="preserve"/>
        </is>
      </c>
      <c r="E8" s="11" t="str">
        <f>IF(B8&lt;0.02,"unter Branchenniveau — Planung schärfen",IF(B8&lt;=0.08,"plausibel","über Branchenniveau — Annahmen prüfen"))</f>
        <v>plausibel</v>
      </c>
    </row>
    <row r="9">
      <c r="A9" s="0" t="inlineStr">
        <is>
          <t xml:space="preserve">Eigenkapitalquote</t>
        </is>
      </c>
      <c r="B9" s="6">
        <f>Investition!B16</f>
        <v>0.2</v>
      </c>
      <c r="C9" s="12">
        <v>0.2</v>
      </c>
      <c r="D9" s="11" t="inlineStr">
        <is>
          <t xml:space="preserve"/>
        </is>
      </c>
      <c r="E9" s="11" t="str">
        <f>IF(B9&gt;=0.2,"erfüllt die IHK-Faustregel","unter 20 % — Sicherheiten oder KfW-Haftungsfreistellung nötig")</f>
        <v>erfüllt die IHK-Faustregel</v>
      </c>
    </row>
    <row r="10">
      <c r="A10" s="0" t="inlineStr">
        <is>
          <t xml:space="preserve">Kapitaldienstfähigkeit Jahr 2</t>
        </is>
      </c>
      <c r="B10" s="13">
        <f>IF(Annahmen!B27=0,0,(SUM('Plan 24 Monate'!I14:I25)/12)/Annahmen!B27)</f>
        <v>1.4133</v>
      </c>
      <c r="C10" s="13">
        <v>1.2</v>
      </c>
      <c r="D10" s="11" t="inlineStr">
        <is>
          <t xml:space="preserve"/>
        </is>
      </c>
      <c r="E10" s="11" t="str">
        <f>IF(B10&gt;=1.2,"tragfähig","unter 1,2 — Kapitaldienst zu hoch")</f>
        <v>tragfähig</v>
      </c>
    </row>
    <row r="11">
      <c r="A11" s="0" t="inlineStr">
        <is>
          <t xml:space="preserve">Jahresumsatz Jahr 2</t>
        </is>
      </c>
      <c r="B11" s="5">
        <f>SUM('Plan 24 Monate'!C14:C25)</f>
        <v>451526.4</v>
      </c>
      <c r="C11" s="5">
        <v>450700</v>
      </c>
      <c r="D11" s="11" t="inlineStr">
        <is>
          <t xml:space="preserve"/>
        </is>
      </c>
      <c r="E11" s="11" t="str">
        <f>IF(AND(B11&gt;=380000,B11&lt;=520000),"im Bereich des Branchendurchschnitts",IF(B11&gt;520000,"über dem Durchschnitt — begründen","unter dem Durchschnitt"))</f>
        <v>im Bereich des Branchendurchschnitts</v>
      </c>
    </row>
    <row r="13">
      <c r="A13" s="1" t="inlineStr">
        <is>
          <t xml:space="preserve">Erster Monat mit positivem Ergebnis</t>
        </is>
      </c>
      <c r="B13" s="8">
        <v>7</v>
      </c>
      <c r="C13" s="7" t="inlineStr">
        <is>
          <t xml:space="preserve">Nach Kapitaldienst und Privatentnahme.</t>
        </is>
      </c>
    </row>
    <row r="14">
      <c r="A14" s="1" t="inlineStr">
        <is>
          <t xml:space="preserve">Niedrigste Liquidität in 24 Monaten</t>
        </is>
      </c>
      <c r="B14" s="8">
        <f>MIN('Plan 24 Monate'!N2:N25)</f>
        <v>3266.6112</v>
      </c>
      <c r="C14" s="7" t="inlineStr">
        <is>
          <t xml:space="preserve">Wird dieser Wert negativ, ist die Planung nicht finanzierbar — unabhängig vom Gewinn.</t>
        </is>
      </c>
    </row>
    <row r="16">
      <c r="A16" s="7" t="inlineStr">
        <is>
          <t xml:space="preserve">Zur Vergleichbarkeit: Der Bundesbank-Wert von 3,3 % ist das Jahresergebnis NACH Zinsen; hier steht das Betriebsergebnis VOR Zinsen und vor Tilgung. Ein etwas höherer Wert ist deshalb normal — deutlich zweistellig wird er nur, wenn Kosten fehlen.</t>
        </is>
      </c>
    </row>
    <row r="17">
      <c r="A17" s="7" t="inlineStr">
        <is>
          <t xml:space="preserve">Überlebensquote im Gastgewerbe: nach 1 Jahr 80,2 %, nach 5 Jahren 36,0 % (Destatis 2025). Wer diese Zahl selbst auf den Tisch legt und daraus seine Annahmen ableitet, führt das Gespräch.</t>
        </is>
      </c>
    </row>
  </sheetData>
</worksheet>
</file>

<file path=xl/worksheets/sheet6.xml><?xml version="1.0" encoding="utf-8"?>
<worksheet xmlns="http://schemas.openxmlformats.org/spreadsheetml/2006/main">
  <cols>
    <col min="1" max="1" width="62" customWidth="1"/>
    <col min="2" max="2" width="56" customWidth="1"/>
    <col min="3" max="3" width="44" customWidth="1"/>
  </cols>
  <sheetData>
    <row r="1">
      <c r="A1" s="2" t="inlineStr">
        <is>
          <t xml:space="preserve">Quellen</t>
        </is>
      </c>
    </row>
    <row r="2">
      <c r="A2" s="7" t="inlineStr">
        <is>
          <t xml:space="preserve">Jede Vergleichszahl in dieser Datei stammt aus einer Primärquelle. Stand Juli 2026.</t>
        </is>
      </c>
    </row>
    <row r="4">
      <c r="A4" s="1" t="inlineStr">
        <is>
          <t xml:space="preserve">Wert</t>
        </is>
      </c>
      <c r="B4" s="1" t="inlineStr">
        <is>
          <t xml:space="preserve">Quelle</t>
        </is>
      </c>
      <c r="C4" s="1" t="inlineStr">
        <is>
          <t xml:space="preserve">Fundstelle</t>
        </is>
      </c>
    </row>
    <row r="5">
      <c r="A5" s="0" t="inlineStr">
        <is>
          <t xml:space="preserve">Wareneinsatz 25,9 % (Median), 31,4 % (oberes Quartil)</t>
        </is>
      </c>
      <c r="B5" s="0" t="inlineStr">
        <is>
          <t xml:space="preserve">Deutsche Bundesbank, Jahresabschlussstatistik – Verhältniszahlen, Mai 2025</t>
        </is>
      </c>
      <c r="C5" s="7" t="inlineStr">
        <is>
          <t xml:space="preserve">Kapitel Gastgewerbe, Berichtsjahr 2022, n = 1.851</t>
        </is>
      </c>
    </row>
    <row r="6">
      <c r="A6" s="0" t="inlineStr">
        <is>
          <t xml:space="preserve">Personalaufwand 34,7 % (Median), 42,6 % (oberes Quartil)</t>
        </is>
      </c>
      <c r="B6" s="0" t="inlineStr">
        <is>
          <t xml:space="preserve">Deutsche Bundesbank, ebd.</t>
        </is>
      </c>
      <c r="C6" s="7" t="inlineStr">
        <is>
          <t xml:space="preserve">dto.</t>
        </is>
      </c>
    </row>
    <row r="7">
      <c r="A7" s="0" t="inlineStr">
        <is>
          <t xml:space="preserve">Prime Cost 62,3 %</t>
        </is>
      </c>
      <c r="B7" s="0" t="inlineStr">
        <is>
          <t xml:space="preserve">eigene Addition der beiden Bundesbank-Werte</t>
        </is>
      </c>
      <c r="C7" s="7" t="inlineStr">
        <is>
          <t xml:space="preserve">dto.</t>
        </is>
      </c>
    </row>
    <row r="8">
      <c r="A8" s="0" t="inlineStr">
        <is>
          <t xml:space="preserve">Umsatzrendite 3,3 % vor Gewinnsteuern</t>
        </is>
      </c>
      <c r="B8" s="0" t="inlineStr">
        <is>
          <t xml:space="preserve">Deutsche Bundesbank, ebd.</t>
        </is>
      </c>
      <c r="C8" s="7" t="inlineStr">
        <is>
          <t xml:space="preserve">dto.</t>
        </is>
      </c>
    </row>
    <row r="9">
      <c r="A9" s="0" t="inlineStr">
        <is>
          <t xml:space="preserve">Ø Jahresumsatz Gastronomie 450.700 €</t>
        </is>
      </c>
      <c r="B9" s="0" t="inlineStr">
        <is>
          <t xml:space="preserve">Statistisches Landesamt, Umsatzsteuerstatistik 2023</t>
        </is>
      </c>
      <c r="C9" s="7" t="inlineStr">
        <is>
          <t xml:space="preserve">Gastronomie (WZ 56)</t>
        </is>
      </c>
    </row>
    <row r="10">
      <c r="A10" s="0" t="inlineStr">
        <is>
          <t xml:space="preserve">Überlebensquote 80,2 % / 36,0 %</t>
        </is>
      </c>
      <c r="B10" s="0" t="inlineStr">
        <is>
          <t xml:space="preserve">Statistisches Bundesamt, Unternehmensdemografie 2025</t>
        </is>
      </c>
      <c r="C10" s="7" t="inlineStr">
        <is>
          <t xml:space="preserve">Zahl der Woche PD25/46</t>
        </is>
      </c>
    </row>
    <row r="11">
      <c r="A11" s="0" t="inlineStr">
        <is>
          <t xml:space="preserve">Eigenkapital mindestens 20 %</t>
        </is>
      </c>
      <c r="B11" s="0" t="inlineStr">
        <is>
          <t xml:space="preserve">IHK Siegen, Gründen in der Gastronomie</t>
        </is>
      </c>
      <c r="C11" s="7" t="inlineStr">
        <is>
          <t xml:space="preserve">als Faustregel bezeichnet</t>
        </is>
      </c>
    </row>
    <row r="12">
      <c r="A12" s="0" t="inlineStr">
        <is>
          <t xml:space="preserve">KfW-StartGeld: 200.000 €, davon 80.000 € Betriebsmittel, 80 % Haftungsfreistellung, kein Eigenkapital gefordert</t>
        </is>
      </c>
      <c r="B12" s="0" t="inlineStr">
        <is>
          <t xml:space="preserve">KfW, ERP-Gründerkredit StartGeld (067)</t>
        </is>
      </c>
      <c r="C12" s="7" t="inlineStr">
        <is>
          <t xml:space="preserve">Produktseite</t>
        </is>
      </c>
    </row>
    <row r="13">
      <c r="A13" s="0" t="inlineStr">
        <is>
          <t xml:space="preserve">Fachkundige Stellungnahme: Kapitalbedarfs- und Finanzierungsplan, Umsatz- und Rentabilitätsvorschau, Liquiditätsplan</t>
        </is>
      </c>
      <c r="B13" s="0" t="inlineStr">
        <is>
          <t xml:space="preserve">§ 93 SGB III, Handelskammer Hamburg</t>
        </is>
      </c>
      <c r="C13" s="7" t="inlineStr">
        <is>
          <t xml:space="preserve">Service-Beschreibung</t>
        </is>
      </c>
    </row>
    <row r="14">
      <c r="A14" s="0" t="inlineStr">
        <is>
          <t xml:space="preserve">BAFA-Beratungsförderung: 80 % / max. 2.800 € bzw. 50 % / max. 1.750 €</t>
        </is>
      </c>
      <c r="B14" s="0" t="inlineStr">
        <is>
          <t xml:space="preserve">BAFA-Förderrichtlinie, Stand 12.12.2024</t>
        </is>
      </c>
      <c r="C14" s="7" t="inlineStr">
        <is>
          <t xml:space="preserve">Vorgründungsphase nicht förderfähig</t>
        </is>
      </c>
    </row>
    <row r="16">
      <c r="A16" s="7" t="inlineStr">
        <is>
          <t xml:space="preserve">Erstellt von TasteWorks — Marketing und Beratung für Gastronomie und Hotellerie. agentur-gastronomie.de/businessplan-gastronomie/</t>
        </is>
      </c>
    </row>
  </sheetData>
</worksheet>
</file>